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filterPrivacy="1" defaultThemeVersion="124226"/>
  <bookViews>
    <workbookView xWindow="240" yWindow="110" windowWidth="14810" windowHeight="8010" activeTab="1" xr2:uid="{00000000-000D-0000-FFFF-FFFF00000000}"/>
  </bookViews>
  <sheets>
    <sheet name="Formulas" sheetId="2" r:id="rId1"/>
    <sheet name="Site1-Site2" sheetId="19" r:id="rId2"/>
  </sheets>
  <definedNames>
    <definedName name="_xlnm.Print_Area" localSheetId="1">'Site1-Site2'!$A$6:$J$56</definedName>
  </definedNames>
  <calcPr calcId="171027"/>
</workbook>
</file>

<file path=xl/calcChain.xml><?xml version="1.0" encoding="utf-8"?>
<calcChain xmlns="http://schemas.openxmlformats.org/spreadsheetml/2006/main">
  <c r="E56" i="19" l="1"/>
  <c r="I56" i="19" s="1"/>
  <c r="E50" i="19"/>
  <c r="E37" i="19"/>
  <c r="E38" i="19" s="1"/>
  <c r="G38" i="19" s="1"/>
  <c r="I38" i="19" s="1"/>
  <c r="E30" i="19"/>
  <c r="E31" i="19" s="1"/>
  <c r="G31" i="19" s="1"/>
  <c r="E25" i="19"/>
  <c r="E21" i="19"/>
  <c r="E17" i="19"/>
  <c r="E27" i="19" s="1"/>
  <c r="E29" i="19" s="1"/>
  <c r="I16" i="19"/>
  <c r="I25" i="19" s="1"/>
  <c r="G16" i="19"/>
  <c r="G25" i="19" s="1"/>
  <c r="G12" i="19"/>
  <c r="G30" i="19" s="1"/>
  <c r="G56" i="19" l="1"/>
  <c r="G17" i="19"/>
  <c r="E26" i="19"/>
  <c r="E39" i="19" s="1"/>
  <c r="G39" i="19" s="1"/>
  <c r="I39" i="19" s="1"/>
  <c r="G29" i="19"/>
  <c r="E42" i="19"/>
  <c r="G42" i="19" s="1"/>
  <c r="I42" i="19" s="1"/>
  <c r="G27" i="19"/>
  <c r="G37" i="19"/>
  <c r="I37" i="19" s="1"/>
  <c r="E53" i="19"/>
  <c r="G53" i="19" s="1"/>
  <c r="G21" i="19"/>
  <c r="E28" i="19"/>
  <c r="E32" i="19"/>
  <c r="E54" i="19"/>
  <c r="E51" i="19"/>
  <c r="E40" i="19"/>
  <c r="G40" i="19" s="1"/>
  <c r="I40" i="19" s="1"/>
  <c r="G26" i="19" l="1"/>
  <c r="G28" i="19"/>
  <c r="E41" i="19"/>
  <c r="G41" i="19" s="1"/>
  <c r="I41" i="19" s="1"/>
  <c r="E33" i="19"/>
  <c r="G33" i="19" s="1"/>
  <c r="E34" i="19"/>
  <c r="G34" i="19" s="1"/>
  <c r="G32" i="19"/>
  <c r="E52" i="19"/>
  <c r="G52" i="19" s="1"/>
  <c r="G51" i="19"/>
  <c r="E55" i="19"/>
  <c r="G55" i="19" s="1"/>
  <c r="G54" i="19"/>
  <c r="D52" i="2"/>
  <c r="D54" i="2" s="1"/>
  <c r="K46" i="2"/>
  <c r="D49" i="2"/>
  <c r="D48" i="2"/>
  <c r="I46" i="2"/>
  <c r="I45" i="2"/>
  <c r="E46" i="2"/>
  <c r="D50" i="2" s="1"/>
</calcChain>
</file>

<file path=xl/sharedStrings.xml><?xml version="1.0" encoding="utf-8"?>
<sst xmlns="http://schemas.openxmlformats.org/spreadsheetml/2006/main" count="172" uniqueCount="109">
  <si>
    <t>Link Distance</t>
  </si>
  <si>
    <t>miles</t>
  </si>
  <si>
    <t>m</t>
  </si>
  <si>
    <t>ft</t>
  </si>
  <si>
    <t>m/s</t>
  </si>
  <si>
    <t>MHz</t>
  </si>
  <si>
    <t>Speed of Light [c]</t>
  </si>
  <si>
    <t>Frequency [f]</t>
  </si>
  <si>
    <r>
      <t>Wavelength [</t>
    </r>
    <r>
      <rPr>
        <sz val="11"/>
        <color theme="1"/>
        <rFont val="Calibri"/>
        <family val="2"/>
      </rPr>
      <t>λ</t>
    </r>
    <r>
      <rPr>
        <sz val="11"/>
        <color theme="1"/>
        <rFont val="Calibri"/>
        <family val="2"/>
        <scheme val="minor"/>
      </rPr>
      <t>=c/f]</t>
    </r>
  </si>
  <si>
    <t>d2 = distance from obstacle to far end (m)</t>
  </si>
  <si>
    <t>d1 = distance from near end to obstacle (m)</t>
  </si>
  <si>
    <r>
      <rPr>
        <sz val="11"/>
        <color theme="1"/>
        <rFont val="Calibri"/>
        <family val="2"/>
      </rPr>
      <t>λ</t>
    </r>
    <r>
      <rPr>
        <sz val="11"/>
        <color theme="1"/>
        <rFont val="Calibri"/>
        <family val="2"/>
        <scheme val="minor"/>
      </rPr>
      <t xml:space="preserve"> = wavelength (m)</t>
    </r>
  </si>
  <si>
    <t>100% F1 Radius</t>
  </si>
  <si>
    <t>80% F1 Radius</t>
  </si>
  <si>
    <t>60% F1 Radius</t>
  </si>
  <si>
    <t>Feet = meters * 3.2808399</t>
  </si>
  <si>
    <t>Miles = kilometers * 0.62137</t>
  </si>
  <si>
    <r>
      <t>Wavelength (</t>
    </r>
    <r>
      <rPr>
        <sz val="11"/>
        <color theme="1"/>
        <rFont val="Calibri"/>
        <family val="2"/>
      </rPr>
      <t>λ) = c/f = speed of light (m/s) / frequency (Hz)</t>
    </r>
  </si>
  <si>
    <t>degrees  (use:  + for uptilt; - for downtilt; 0 for no tilt)</t>
  </si>
  <si>
    <t>1)  Enter values in the yellow cells</t>
  </si>
  <si>
    <t>2)  View answers in the green cells</t>
  </si>
  <si>
    <t>Instructions:</t>
  </si>
  <si>
    <t>Radius of Fresnel zone n (Fn) = SQRT[ (n*λ*d1*d2) / (d1+d2) ]</t>
  </si>
  <si>
    <t>n = Fresnel zone number (typically 1)</t>
  </si>
  <si>
    <t>Near End</t>
  </si>
  <si>
    <t>Far End</t>
  </si>
  <si>
    <t>Link Description:</t>
  </si>
  <si>
    <t>Height of Near End Antenna Above (+) or Below (-) Top of Obstacle Needed for Clearance:</t>
  </si>
  <si>
    <t>(Fraunhofer distance)</t>
  </si>
  <si>
    <r>
      <t>If D &lt; 0.5</t>
    </r>
    <r>
      <rPr>
        <sz val="11"/>
        <color theme="1"/>
        <rFont val="Calibri"/>
        <family val="2"/>
      </rPr>
      <t>λ:  r(far) = 2λ</t>
    </r>
  </si>
  <si>
    <r>
      <t>If D &gt; 0.5</t>
    </r>
    <r>
      <rPr>
        <sz val="11"/>
        <color theme="1"/>
        <rFont val="Calibri"/>
        <family val="2"/>
      </rPr>
      <t>λ:  r(far) = (2 * D^2) / λ = Fraunhofer distance</t>
    </r>
  </si>
  <si>
    <t>deg</t>
  </si>
  <si>
    <t>3)  Grey cells are intermediate calculations that may be of interest</t>
  </si>
  <si>
    <t>Far End 3dB Beam Coverage</t>
  </si>
  <si>
    <t>Height above obstacle = (F1 radius) - (Opposite of tilt angle)</t>
  </si>
  <si>
    <t>Opposite of tilt angle = Tangent(tilt angle) * (distance to obstacle)</t>
  </si>
  <si>
    <t>Fresnel Zone</t>
  </si>
  <si>
    <t>Near End to Obstacle  (0 for none)</t>
  </si>
  <si>
    <t>Obstacle to far end</t>
  </si>
  <si>
    <t>Vertical Tilt Angle (+/-)</t>
  </si>
  <si>
    <t>Obstacle at Near End (blank for none)</t>
  </si>
  <si>
    <t>3dB Beam Coverage = 2 * Tangent[(0.5)(3dB beam angle)] * (distance to far end)</t>
  </si>
  <si>
    <t>Distance to beginning of far-field [r(far)] for antenna with diameter D</t>
  </si>
  <si>
    <t>100% F2 Radius</t>
  </si>
  <si>
    <t>Antenna</t>
  </si>
  <si>
    <t>Radius of Fresnel Zone:</t>
  </si>
  <si>
    <t>Obstruction</t>
  </si>
  <si>
    <t>Azimuth</t>
  </si>
  <si>
    <t>True</t>
  </si>
  <si>
    <t>Magnetic</t>
  </si>
  <si>
    <t>3dB Beamwidth</t>
  </si>
  <si>
    <t>Aperture / Dish Diameter</t>
  </si>
  <si>
    <t>Description</t>
  </si>
  <si>
    <t>Obstacle:</t>
  </si>
  <si>
    <t>at link midpoint distance of:</t>
  </si>
  <si>
    <t>at obstacle distance of:</t>
  </si>
  <si>
    <t>Illumination Efficiency (ƞ)</t>
  </si>
  <si>
    <t>Approximate illumination efficiency from gain, frequency, diameter</t>
  </si>
  <si>
    <t>10*log(n) = -20.4 + G(dB) - 20*log[f(GHz)] - 20*log[D(m)]</t>
  </si>
  <si>
    <t>n = illumination efficiency</t>
  </si>
  <si>
    <t>G = gain</t>
  </si>
  <si>
    <t>f = frequency</t>
  </si>
  <si>
    <t>D = antenna aperture (diameter of dish)</t>
  </si>
  <si>
    <t>Gain (nominal)</t>
  </si>
  <si>
    <t>dB</t>
  </si>
  <si>
    <t>Calculations</t>
  </si>
  <si>
    <r>
      <t xml:space="preserve">(taking into account </t>
    </r>
    <r>
      <rPr>
        <sz val="11"/>
        <color theme="1"/>
        <rFont val="Calibri"/>
        <family val="2"/>
      </rPr>
      <t>ƞ</t>
    </r>
    <r>
      <rPr>
        <sz val="11"/>
        <color theme="1"/>
        <rFont val="Calibri"/>
        <family val="2"/>
        <scheme val="minor"/>
      </rPr>
      <t>)</t>
    </r>
  </si>
  <si>
    <t>n = 10^[ [-20.4 + G(dB) - 20*log[f(GHz)] - 20*log[D(m)]] / 10 ]</t>
  </si>
  <si>
    <r>
      <t>Near/Far Transistion starts: 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/(2</t>
    </r>
    <r>
      <rPr>
        <sz val="11"/>
        <color theme="1"/>
        <rFont val="Calibri"/>
        <family val="2"/>
      </rPr>
      <t>λ</t>
    </r>
    <r>
      <rPr>
        <sz val="11"/>
        <color theme="1"/>
        <rFont val="Calibri"/>
        <family val="2"/>
        <scheme val="minor"/>
      </rPr>
      <t>)</t>
    </r>
  </si>
  <si>
    <r>
      <t>Radiating Far-Field starts:  2D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/λ</t>
    </r>
  </si>
  <si>
    <r>
      <t>Radiating Far-Field starts:  2</t>
    </r>
    <r>
      <rPr>
        <sz val="11"/>
        <color theme="1"/>
        <rFont val="Calibri"/>
        <family val="2"/>
      </rPr>
      <t>ƞ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/λ</t>
    </r>
  </si>
  <si>
    <r>
      <t xml:space="preserve">Reactive Near Field:  0 &lt;  r  &lt; </t>
    </r>
    <r>
      <rPr>
        <sz val="11"/>
        <color theme="1"/>
        <rFont val="Calibri"/>
        <family val="2"/>
      </rPr>
      <t>λ</t>
    </r>
    <r>
      <rPr>
        <sz val="11"/>
        <color theme="1"/>
        <rFont val="Calibri"/>
        <family val="2"/>
        <scheme val="minor"/>
      </rPr>
      <t/>
    </r>
  </si>
  <si>
    <r>
      <t xml:space="preserve">Radiating Near-Field starts:  </t>
    </r>
    <r>
      <rPr>
        <sz val="11"/>
        <color theme="1"/>
        <rFont val="Calibri"/>
        <family val="2"/>
      </rPr>
      <t>λ</t>
    </r>
    <r>
      <rPr>
        <b/>
        <sz val="11"/>
        <color theme="1"/>
        <rFont val="Calibri"/>
        <family val="2"/>
        <scheme val="minor"/>
      </rPr>
      <t/>
    </r>
  </si>
  <si>
    <t xml:space="preserve"> = Normalized diameter of circular antenna</t>
  </si>
  <si>
    <t xml:space="preserve"> = 1.0167 D(ft) f(GHz) = 3.3356 D(m) f(GHz)</t>
  </si>
  <si>
    <r>
      <t>D/</t>
    </r>
    <r>
      <rPr>
        <sz val="11"/>
        <color theme="1"/>
        <rFont val="Calibri"/>
        <family val="2"/>
      </rPr>
      <t>λ</t>
    </r>
  </si>
  <si>
    <t>Examples for:</t>
  </si>
  <si>
    <t>f (GHz) =</t>
  </si>
  <si>
    <t>D (m) =</t>
  </si>
  <si>
    <t>D (ft) =</t>
  </si>
  <si>
    <t>c = 299,792,458 m/s</t>
  </si>
  <si>
    <r>
      <t>D/</t>
    </r>
    <r>
      <rPr>
        <sz val="11"/>
        <color theme="1"/>
        <rFont val="Calibri"/>
        <family val="2"/>
      </rPr>
      <t>λ =</t>
    </r>
  </si>
  <si>
    <r>
      <rPr>
        <sz val="11"/>
        <color theme="1"/>
        <rFont val="Calibri"/>
        <family val="2"/>
      </rPr>
      <t>λ</t>
    </r>
    <r>
      <rPr>
        <sz val="11"/>
        <color theme="1"/>
        <rFont val="Calibri"/>
        <family val="2"/>
        <scheme val="minor"/>
      </rPr>
      <t xml:space="preserve"> (m) =</t>
    </r>
  </si>
  <si>
    <r>
      <rPr>
        <sz val="11"/>
        <color theme="1"/>
        <rFont val="Calibri"/>
        <family val="2"/>
      </rPr>
      <t>λ</t>
    </r>
    <r>
      <rPr>
        <sz val="11"/>
        <color theme="1"/>
        <rFont val="Calibri"/>
        <family val="2"/>
        <scheme val="minor"/>
      </rPr>
      <t xml:space="preserve"> (ft) =</t>
    </r>
  </si>
  <si>
    <t>3.3356 * D(m) * f(GHz)</t>
  </si>
  <si>
    <t>1.0167 * D(ft) * f(GHz)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</si>
  <si>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 xml:space="preserve"> =</t>
    </r>
  </si>
  <si>
    <t>Δ</t>
  </si>
  <si>
    <r>
      <t xml:space="preserve"> = d / ((2D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/ </t>
    </r>
    <r>
      <rPr>
        <sz val="11"/>
        <color theme="1"/>
        <rFont val="Calibri"/>
        <family val="2"/>
      </rPr>
      <t>λ</t>
    </r>
    <r>
      <rPr>
        <sz val="11"/>
        <color theme="1"/>
        <rFont val="Calibri"/>
        <family val="2"/>
        <scheme val="minor"/>
      </rPr>
      <t>)</t>
    </r>
  </si>
  <si>
    <t>d (m) =</t>
  </si>
  <si>
    <t>d (ft) =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</si>
  <si>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dB</t>
    </r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</si>
  <si>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db =</t>
    </r>
  </si>
  <si>
    <r>
      <t xml:space="preserve"> = 10*log(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)</t>
    </r>
  </si>
  <si>
    <t xml:space="preserve"> = Normalized distance at nominal far field crossover point</t>
  </si>
  <si>
    <t xml:space="preserve"> = i.e. how many wavelengths fit in the diameter</t>
  </si>
  <si>
    <t xml:space="preserve"> = Normalized distance parameter for circular antenna</t>
  </si>
  <si>
    <t xml:space="preserve"> = fraction of distance to near/far transition</t>
  </si>
  <si>
    <t>0 = Normalized distance to near/far transition</t>
  </si>
  <si>
    <r>
      <t>100% F2 Radius</t>
    </r>
    <r>
      <rPr>
        <sz val="11"/>
        <color theme="1"/>
        <rFont val="Calibri"/>
        <family val="2"/>
        <scheme val="minor"/>
      </rPr>
      <t xml:space="preserve"> (Center of Aperture)</t>
    </r>
  </si>
  <si>
    <r>
      <t>100% F1 Radius</t>
    </r>
    <r>
      <rPr>
        <sz val="11"/>
        <color theme="1"/>
        <rFont val="Calibri"/>
        <family val="2"/>
        <scheme val="minor"/>
      </rPr>
      <t xml:space="preserve"> (Center of Aperture)</t>
    </r>
  </si>
  <si>
    <r>
      <t>80% F1 Radius</t>
    </r>
    <r>
      <rPr>
        <sz val="11"/>
        <color theme="1"/>
        <rFont val="Calibri"/>
        <family val="2"/>
        <scheme val="minor"/>
      </rPr>
      <t xml:space="preserve"> (Center of Aperture)</t>
    </r>
  </si>
  <si>
    <r>
      <t>60% F1 Radius</t>
    </r>
    <r>
      <rPr>
        <sz val="11"/>
        <color theme="1"/>
        <rFont val="Calibri"/>
        <family val="2"/>
        <scheme val="minor"/>
      </rPr>
      <t xml:space="preserve"> (Center of Aperture)</t>
    </r>
  </si>
  <si>
    <t>Ubiquiti 30 dB Rocket Dish</t>
  </si>
  <si>
    <t>in</t>
  </si>
  <si>
    <t>Bottom of Near Field Aperture</t>
  </si>
  <si>
    <t>Center of Near Field Aperture</t>
  </si>
  <si>
    <t>Site 1 - Near End</t>
  </si>
  <si>
    <t>Site 2 - Far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</si>
</sst>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"/>
    <numFmt numFmtId="165" formatCode="#,##0.000000"/>
    <numFmt numFmtId="166" formatCode="#,##0.0"/>
    <numFmt numFmtId="167" formatCode="#,##0.000"/>
    <numFmt numFmtId="168" formatCode="0.0000"/>
    <numFmt numFmtId="169" formatCode="0.000"/>
    <numFmt numFmtId="170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3" fontId="0" fillId="2" borderId="0" xfId="0" applyNumberFormat="1" applyFill="1"/>
    <xf numFmtId="0" fontId="0" fillId="0" borderId="0" xfId="0" applyFill="1"/>
    <xf numFmtId="167" fontId="0" fillId="2" borderId="0" xfId="0" applyNumberFormat="1" applyFill="1"/>
    <xf numFmtId="0" fontId="1" fillId="0" borderId="0" xfId="0" applyFont="1"/>
    <xf numFmtId="166" fontId="1" fillId="2" borderId="0" xfId="0" applyNumberFormat="1" applyFont="1" applyFill="1"/>
    <xf numFmtId="0" fontId="1" fillId="0" borderId="0" xfId="0" applyFont="1" applyFill="1"/>
    <xf numFmtId="3" fontId="1" fillId="0" borderId="0" xfId="0" applyNumberFormat="1" applyFont="1" applyFill="1"/>
    <xf numFmtId="3" fontId="1" fillId="0" borderId="0" xfId="0" applyNumberFormat="1" applyFont="1"/>
    <xf numFmtId="0" fontId="0" fillId="0" borderId="0" xfId="0" applyFont="1" applyFill="1"/>
    <xf numFmtId="0" fontId="0" fillId="0" borderId="0" xfId="0" applyFont="1"/>
    <xf numFmtId="166" fontId="0" fillId="2" borderId="0" xfId="0" applyNumberFormat="1" applyFont="1" applyFill="1"/>
    <xf numFmtId="165" fontId="0" fillId="0" borderId="0" xfId="0" applyNumberFormat="1" applyFill="1"/>
    <xf numFmtId="164" fontId="0" fillId="0" borderId="0" xfId="0" applyNumberFormat="1" applyFill="1"/>
    <xf numFmtId="167" fontId="1" fillId="0" borderId="0" xfId="0" applyNumberFormat="1" applyFont="1" applyFill="1"/>
    <xf numFmtId="166" fontId="1" fillId="4" borderId="0" xfId="0" applyNumberFormat="1" applyFont="1" applyFill="1"/>
    <xf numFmtId="166" fontId="1" fillId="3" borderId="0" xfId="0" applyNumberFormat="1" applyFont="1" applyFill="1" applyProtection="1">
      <protection locked="0"/>
    </xf>
    <xf numFmtId="167" fontId="1" fillId="3" borderId="0" xfId="0" applyNumberFormat="1" applyFont="1" applyFill="1" applyProtection="1">
      <protection locked="0"/>
    </xf>
    <xf numFmtId="3" fontId="1" fillId="3" borderId="0" xfId="0" applyNumberFormat="1" applyFont="1" applyFill="1" applyProtection="1">
      <protection locked="0"/>
    </xf>
    <xf numFmtId="166" fontId="0" fillId="2" borderId="0" xfId="0" applyNumberFormat="1" applyFill="1"/>
    <xf numFmtId="0" fontId="4" fillId="5" borderId="0" xfId="0" applyFont="1" applyFill="1"/>
    <xf numFmtId="3" fontId="4" fillId="5" borderId="0" xfId="0" applyNumberFormat="1" applyFont="1" applyFill="1"/>
    <xf numFmtId="3" fontId="0" fillId="0" borderId="0" xfId="0" applyNumberFormat="1" applyFont="1"/>
    <xf numFmtId="166" fontId="1" fillId="0" borderId="0" xfId="0" applyNumberFormat="1" applyFont="1" applyFill="1"/>
    <xf numFmtId="166" fontId="3" fillId="3" borderId="0" xfId="0" applyNumberFormat="1" applyFont="1" applyFill="1" applyProtection="1">
      <protection locked="0"/>
    </xf>
    <xf numFmtId="3" fontId="1" fillId="6" borderId="0" xfId="0" applyNumberFormat="1" applyFont="1" applyFill="1"/>
    <xf numFmtId="166" fontId="1" fillId="6" borderId="0" xfId="0" applyNumberFormat="1" applyFont="1" applyFill="1"/>
    <xf numFmtId="4" fontId="1" fillId="3" borderId="0" xfId="0" applyNumberFormat="1" applyFont="1" applyFill="1" applyProtection="1">
      <protection locked="0"/>
    </xf>
    <xf numFmtId="166" fontId="1" fillId="3" borderId="0" xfId="0" applyNumberFormat="1" applyFont="1" applyFill="1"/>
    <xf numFmtId="49" fontId="1" fillId="0" borderId="0" xfId="0" applyNumberFormat="1" applyFont="1"/>
    <xf numFmtId="3" fontId="1" fillId="0" borderId="0" xfId="0" applyNumberFormat="1" applyFont="1" applyFill="1" applyAlignment="1" applyProtection="1">
      <alignment horizontal="left"/>
      <protection locked="0"/>
    </xf>
    <xf numFmtId="3" fontId="1" fillId="3" borderId="0" xfId="0" applyNumberFormat="1" applyFont="1" applyFill="1"/>
    <xf numFmtId="0" fontId="1" fillId="3" borderId="0" xfId="0" applyFont="1" applyFill="1"/>
    <xf numFmtId="166" fontId="0" fillId="0" borderId="0" xfId="0" applyNumberFormat="1" applyFill="1"/>
    <xf numFmtId="4" fontId="1" fillId="6" borderId="0" xfId="0" applyNumberFormat="1" applyFont="1" applyFill="1"/>
    <xf numFmtId="166" fontId="5" fillId="2" borderId="0" xfId="0" applyNumberFormat="1" applyFont="1" applyFill="1"/>
    <xf numFmtId="166" fontId="3" fillId="0" borderId="0" xfId="0" applyNumberFormat="1" applyFont="1" applyFill="1" applyProtection="1">
      <protection locked="0"/>
    </xf>
    <xf numFmtId="167" fontId="0" fillId="2" borderId="0" xfId="0" applyNumberFormat="1" applyFont="1" applyFill="1" applyProtection="1"/>
    <xf numFmtId="166" fontId="5" fillId="2" borderId="0" xfId="0" applyNumberFormat="1" applyFont="1" applyFill="1" applyProtection="1"/>
    <xf numFmtId="0" fontId="0" fillId="0" borderId="0" xfId="0" applyAlignment="1">
      <alignment horizontal="right"/>
    </xf>
    <xf numFmtId="0" fontId="0" fillId="3" borderId="0" xfId="0" applyFill="1"/>
    <xf numFmtId="168" fontId="0" fillId="6" borderId="0" xfId="0" applyNumberFormat="1" applyFill="1"/>
    <xf numFmtId="168" fontId="0" fillId="3" borderId="0" xfId="0" applyNumberFormat="1" applyFill="1"/>
    <xf numFmtId="3" fontId="0" fillId="0" borderId="0" xfId="0" applyNumberFormat="1" applyFill="1"/>
    <xf numFmtId="168" fontId="0" fillId="0" borderId="0" xfId="0" applyNumberFormat="1"/>
    <xf numFmtId="0" fontId="2" fillId="0" borderId="0" xfId="0" applyFont="1"/>
    <xf numFmtId="169" fontId="0" fillId="3" borderId="0" xfId="0" applyNumberFormat="1" applyFill="1"/>
    <xf numFmtId="169" fontId="0" fillId="6" borderId="0" xfId="0" applyNumberFormat="1" applyFill="1"/>
    <xf numFmtId="167" fontId="0" fillId="2" borderId="0" xfId="0" applyNumberFormat="1" applyFont="1" applyFill="1"/>
    <xf numFmtId="170" fontId="1" fillId="4" borderId="0" xfId="0" applyNumberFormat="1" applyFont="1" applyFill="1"/>
    <xf numFmtId="3" fontId="1" fillId="3" borderId="0" xfId="0" applyNumberFormat="1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4"/>
  <sheetViews>
    <sheetView topLeftCell="A7" workbookViewId="0">
      <selection activeCell="M32" sqref="M32"/>
    </sheetView>
  </sheetViews>
  <sheetFormatPr defaultRowHeight="14.5" x14ac:dyDescent="0.35"/>
  <cols>
    <col min="2" max="3" width="6.6328125" customWidth="1"/>
  </cols>
  <sheetData>
    <row r="2" spans="2:3" x14ac:dyDescent="0.35">
      <c r="B2" t="s">
        <v>17</v>
      </c>
    </row>
    <row r="3" spans="2:3" x14ac:dyDescent="0.35">
      <c r="B3" t="s">
        <v>80</v>
      </c>
      <c r="C3" s="44"/>
    </row>
    <row r="4" spans="2:3" x14ac:dyDescent="0.35">
      <c r="B4" t="s">
        <v>15</v>
      </c>
    </row>
    <row r="6" spans="2:3" x14ac:dyDescent="0.35">
      <c r="B6" t="s">
        <v>16</v>
      </c>
    </row>
    <row r="8" spans="2:3" x14ac:dyDescent="0.35">
      <c r="B8" t="s">
        <v>22</v>
      </c>
    </row>
    <row r="9" spans="2:3" x14ac:dyDescent="0.35">
      <c r="C9" t="s">
        <v>23</v>
      </c>
    </row>
    <row r="10" spans="2:3" x14ac:dyDescent="0.35">
      <c r="C10" t="s">
        <v>11</v>
      </c>
    </row>
    <row r="11" spans="2:3" x14ac:dyDescent="0.35">
      <c r="C11" t="s">
        <v>10</v>
      </c>
    </row>
    <row r="12" spans="2:3" x14ac:dyDescent="0.35">
      <c r="C12" t="s">
        <v>9</v>
      </c>
    </row>
    <row r="14" spans="2:3" x14ac:dyDescent="0.35">
      <c r="B14" t="s">
        <v>35</v>
      </c>
    </row>
    <row r="16" spans="2:3" x14ac:dyDescent="0.35">
      <c r="B16" t="s">
        <v>34</v>
      </c>
    </row>
    <row r="18" spans="2:4" x14ac:dyDescent="0.35">
      <c r="B18" t="s">
        <v>42</v>
      </c>
    </row>
    <row r="19" spans="2:4" x14ac:dyDescent="0.35">
      <c r="C19" t="s">
        <v>29</v>
      </c>
    </row>
    <row r="20" spans="2:4" x14ac:dyDescent="0.35">
      <c r="C20" t="s">
        <v>30</v>
      </c>
    </row>
    <row r="22" spans="2:4" x14ac:dyDescent="0.35">
      <c r="B22" t="s">
        <v>41</v>
      </c>
    </row>
    <row r="24" spans="2:4" x14ac:dyDescent="0.35">
      <c r="B24" t="s">
        <v>57</v>
      </c>
    </row>
    <row r="25" spans="2:4" x14ac:dyDescent="0.35">
      <c r="C25" t="s">
        <v>58</v>
      </c>
    </row>
    <row r="26" spans="2:4" x14ac:dyDescent="0.35">
      <c r="D26" t="s">
        <v>59</v>
      </c>
    </row>
    <row r="27" spans="2:4" x14ac:dyDescent="0.35">
      <c r="D27" t="s">
        <v>60</v>
      </c>
    </row>
    <row r="28" spans="2:4" x14ac:dyDescent="0.35">
      <c r="D28" t="s">
        <v>61</v>
      </c>
    </row>
    <row r="29" spans="2:4" x14ac:dyDescent="0.35">
      <c r="D29" t="s">
        <v>62</v>
      </c>
    </row>
    <row r="30" spans="2:4" x14ac:dyDescent="0.35">
      <c r="C30" t="s">
        <v>67</v>
      </c>
    </row>
    <row r="33" spans="2:11" x14ac:dyDescent="0.35">
      <c r="B33" t="s">
        <v>75</v>
      </c>
      <c r="C33" t="s">
        <v>73</v>
      </c>
    </row>
    <row r="34" spans="2:11" x14ac:dyDescent="0.35">
      <c r="C34" t="s">
        <v>95</v>
      </c>
    </row>
    <row r="35" spans="2:11" x14ac:dyDescent="0.35">
      <c r="C35" t="s">
        <v>74</v>
      </c>
    </row>
    <row r="37" spans="2:11" x14ac:dyDescent="0.35">
      <c r="B37" s="46" t="s">
        <v>87</v>
      </c>
      <c r="C37" t="s">
        <v>96</v>
      </c>
    </row>
    <row r="38" spans="2:11" x14ac:dyDescent="0.35">
      <c r="B38" s="46"/>
      <c r="C38" t="s">
        <v>97</v>
      </c>
    </row>
    <row r="39" spans="2:11" ht="16.5" x14ac:dyDescent="0.35">
      <c r="C39" t="s">
        <v>88</v>
      </c>
    </row>
    <row r="41" spans="2:11" x14ac:dyDescent="0.35">
      <c r="B41" t="s">
        <v>91</v>
      </c>
      <c r="C41" t="s">
        <v>94</v>
      </c>
    </row>
    <row r="42" spans="2:11" x14ac:dyDescent="0.35">
      <c r="C42" t="s">
        <v>93</v>
      </c>
    </row>
    <row r="45" spans="2:11" x14ac:dyDescent="0.35">
      <c r="B45" t="s">
        <v>76</v>
      </c>
      <c r="D45" s="40" t="s">
        <v>78</v>
      </c>
      <c r="E45" s="47">
        <v>1.05</v>
      </c>
      <c r="F45" s="40" t="s">
        <v>77</v>
      </c>
      <c r="G45" s="43">
        <v>5.8250000000000002</v>
      </c>
      <c r="H45" s="40" t="s">
        <v>82</v>
      </c>
      <c r="I45" s="43">
        <f>299792458/(G45*1000000000)</f>
        <v>5.1466516394849789E-2</v>
      </c>
      <c r="J45" s="40" t="s">
        <v>89</v>
      </c>
      <c r="K45" s="41">
        <v>3.05</v>
      </c>
    </row>
    <row r="46" spans="2:11" x14ac:dyDescent="0.35">
      <c r="D46" s="40" t="s">
        <v>79</v>
      </c>
      <c r="E46" s="48">
        <f>E45*3.2808399</f>
        <v>3.4448818950000004</v>
      </c>
      <c r="H46" s="40" t="s">
        <v>83</v>
      </c>
      <c r="I46" s="42">
        <f>I45*3.2808399</f>
        <v>0.16885340050222736</v>
      </c>
      <c r="J46" s="40" t="s">
        <v>90</v>
      </c>
      <c r="K46" s="3">
        <f>K45*3.2808399</f>
        <v>10.006561695</v>
      </c>
    </row>
    <row r="48" spans="2:11" x14ac:dyDescent="0.35">
      <c r="B48" t="s">
        <v>81</v>
      </c>
      <c r="D48" s="42">
        <f>E45/I45</f>
        <v>20.401613972556973</v>
      </c>
      <c r="F48" t="s">
        <v>75</v>
      </c>
    </row>
    <row r="49" spans="2:6" x14ac:dyDescent="0.35">
      <c r="D49" s="45">
        <f>3.3356*E45*G45</f>
        <v>20.401363500000002</v>
      </c>
      <c r="F49" t="s">
        <v>84</v>
      </c>
    </row>
    <row r="50" spans="2:6" x14ac:dyDescent="0.35">
      <c r="D50" s="45">
        <f>1.0167*E46*G45</f>
        <v>20.401546536915866</v>
      </c>
      <c r="F50" t="s">
        <v>85</v>
      </c>
    </row>
    <row r="52" spans="2:6" x14ac:dyDescent="0.35">
      <c r="B52" t="s">
        <v>86</v>
      </c>
      <c r="D52" s="45">
        <f>K45/((2*E45^2)/I45)</f>
        <v>7.1189512473601738E-2</v>
      </c>
    </row>
    <row r="54" spans="2:6" x14ac:dyDescent="0.35">
      <c r="B54" t="s">
        <v>92</v>
      </c>
      <c r="D54">
        <f>10*LOG10(D52)</f>
        <v>-11.475839812272007</v>
      </c>
      <c r="F54" t="s">
        <v>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0B1C0-76D6-4F37-89DF-1AA96153FB8A}">
  <sheetPr>
    <pageSetUpPr fitToPage="1"/>
  </sheetPr>
  <dimension ref="A1:J56"/>
  <sheetViews>
    <sheetView tabSelected="1" workbookViewId="0">
      <selection activeCell="E15" sqref="E15:I15"/>
    </sheetView>
  </sheetViews>
  <sheetFormatPr defaultRowHeight="14.5" x14ac:dyDescent="0.35"/>
  <cols>
    <col min="1" max="3" width="2.7265625" customWidth="1"/>
    <col min="4" max="4" width="32.6328125" customWidth="1"/>
    <col min="5" max="5" width="11.7265625" style="1" customWidth="1"/>
    <col min="7" max="7" width="11.7265625" style="1" customWidth="1"/>
    <col min="9" max="9" width="11.7265625" customWidth="1"/>
  </cols>
  <sheetData>
    <row r="1" spans="1:10" s="5" customFormat="1" x14ac:dyDescent="0.35">
      <c r="A1" s="5" t="s">
        <v>21</v>
      </c>
      <c r="E1" s="9"/>
      <c r="G1" s="9"/>
    </row>
    <row r="2" spans="1:10" s="11" customFormat="1" x14ac:dyDescent="0.35">
      <c r="B2" s="11" t="s">
        <v>19</v>
      </c>
      <c r="E2" s="23"/>
      <c r="G2" s="23"/>
    </row>
    <row r="3" spans="1:10" s="11" customFormat="1" x14ac:dyDescent="0.35">
      <c r="B3" s="11" t="s">
        <v>20</v>
      </c>
      <c r="E3" s="23"/>
      <c r="G3" s="23"/>
    </row>
    <row r="4" spans="1:10" s="11" customFormat="1" x14ac:dyDescent="0.35">
      <c r="B4" s="11" t="s">
        <v>32</v>
      </c>
      <c r="E4" s="23"/>
      <c r="G4" s="23"/>
    </row>
    <row r="6" spans="1:10" s="21" customFormat="1" ht="15.5" x14ac:dyDescent="0.35">
      <c r="A6" s="21" t="s">
        <v>26</v>
      </c>
      <c r="E6" s="22"/>
      <c r="G6" s="22"/>
    </row>
    <row r="7" spans="1:10" s="5" customFormat="1" x14ac:dyDescent="0.35">
      <c r="B7" s="5" t="s">
        <v>24</v>
      </c>
      <c r="E7" s="51" t="s">
        <v>107</v>
      </c>
      <c r="F7" s="51"/>
      <c r="G7" s="51"/>
      <c r="H7" s="51"/>
      <c r="I7" s="51"/>
    </row>
    <row r="8" spans="1:10" s="5" customFormat="1" x14ac:dyDescent="0.35">
      <c r="B8" s="5" t="s">
        <v>25</v>
      </c>
      <c r="E8" s="51" t="s">
        <v>108</v>
      </c>
      <c r="F8" s="51"/>
      <c r="G8" s="51"/>
      <c r="H8" s="51"/>
      <c r="I8" s="51"/>
    </row>
    <row r="9" spans="1:10" x14ac:dyDescent="0.35">
      <c r="B9" s="5" t="s">
        <v>47</v>
      </c>
      <c r="E9" s="29">
        <v>0</v>
      </c>
      <c r="F9" s="30" t="s">
        <v>48</v>
      </c>
      <c r="G9" s="29">
        <v>14</v>
      </c>
      <c r="H9" s="30" t="s">
        <v>49</v>
      </c>
    </row>
    <row r="10" spans="1:10" s="5" customFormat="1" x14ac:dyDescent="0.35">
      <c r="B10" s="5" t="s">
        <v>39</v>
      </c>
      <c r="E10" s="17">
        <v>-1</v>
      </c>
      <c r="F10" s="5" t="s">
        <v>18</v>
      </c>
      <c r="G10" s="9"/>
    </row>
    <row r="11" spans="1:10" s="5" customFormat="1" x14ac:dyDescent="0.35">
      <c r="E11" s="31"/>
      <c r="F11" s="31"/>
      <c r="G11" s="31"/>
      <c r="H11" s="31"/>
      <c r="I11" s="31"/>
    </row>
    <row r="12" spans="1:10" s="5" customFormat="1" x14ac:dyDescent="0.35">
      <c r="B12" s="5" t="s">
        <v>0</v>
      </c>
      <c r="E12" s="17">
        <v>15000</v>
      </c>
      <c r="F12" s="5" t="s">
        <v>2</v>
      </c>
      <c r="G12" s="6">
        <f>E12/1000*0.62137119</f>
        <v>9.3205678499999998</v>
      </c>
      <c r="H12" s="5" t="s">
        <v>1</v>
      </c>
    </row>
    <row r="13" spans="1:10" s="5" customFormat="1" x14ac:dyDescent="0.35">
      <c r="E13" s="24"/>
      <c r="F13" s="7"/>
      <c r="G13" s="15"/>
    </row>
    <row r="14" spans="1:10" s="5" customFormat="1" x14ac:dyDescent="0.35">
      <c r="B14" s="5" t="s">
        <v>53</v>
      </c>
      <c r="E14" s="24"/>
      <c r="F14" s="7"/>
      <c r="G14" s="15"/>
    </row>
    <row r="15" spans="1:10" s="5" customFormat="1" x14ac:dyDescent="0.35">
      <c r="C15" s="5" t="s">
        <v>40</v>
      </c>
      <c r="E15" s="51" t="s">
        <v>46</v>
      </c>
      <c r="F15" s="51"/>
      <c r="G15" s="51"/>
      <c r="H15" s="51"/>
      <c r="I15" s="51"/>
    </row>
    <row r="16" spans="1:10" s="5" customFormat="1" x14ac:dyDescent="0.35">
      <c r="C16" s="5" t="s">
        <v>37</v>
      </c>
      <c r="E16" s="28">
        <v>15</v>
      </c>
      <c r="F16" s="5" t="s">
        <v>2</v>
      </c>
      <c r="G16" s="6">
        <f>E16/1000*0.62137119</f>
        <v>9.3205678499999993E-3</v>
      </c>
      <c r="H16" s="5" t="s">
        <v>1</v>
      </c>
      <c r="I16" s="6">
        <f>E16*3.2808399</f>
        <v>49.212598499999999</v>
      </c>
      <c r="J16" s="5" t="s">
        <v>3</v>
      </c>
    </row>
    <row r="17" spans="1:10" x14ac:dyDescent="0.35">
      <c r="C17" t="s">
        <v>38</v>
      </c>
      <c r="E17" s="20">
        <f>E12-E16</f>
        <v>14985</v>
      </c>
      <c r="F17" t="s">
        <v>2</v>
      </c>
      <c r="G17" s="20">
        <f>E17/1000*0.62137119</f>
        <v>9.3112472821499992</v>
      </c>
      <c r="H17" t="s">
        <v>1</v>
      </c>
    </row>
    <row r="18" spans="1:10" x14ac:dyDescent="0.35">
      <c r="E18" s="34"/>
      <c r="F18" s="3"/>
      <c r="G18" s="34"/>
    </row>
    <row r="19" spans="1:10" s="5" customFormat="1" x14ac:dyDescent="0.35">
      <c r="B19" s="5" t="s">
        <v>7</v>
      </c>
      <c r="E19" s="19">
        <v>5800</v>
      </c>
      <c r="F19" s="5" t="s">
        <v>5</v>
      </c>
      <c r="G19" s="8"/>
    </row>
    <row r="20" spans="1:10" x14ac:dyDescent="0.35">
      <c r="C20" t="s">
        <v>6</v>
      </c>
      <c r="E20" s="2">
        <v>299792458</v>
      </c>
      <c r="F20" t="s">
        <v>4</v>
      </c>
    </row>
    <row r="21" spans="1:10" x14ac:dyDescent="0.35">
      <c r="C21" t="s">
        <v>8</v>
      </c>
      <c r="E21" s="4">
        <f>E20/(E19*1000000)</f>
        <v>5.1688354827586207E-2</v>
      </c>
      <c r="F21" t="s">
        <v>2</v>
      </c>
      <c r="G21" s="20">
        <f>E21*3.2808399</f>
        <v>0.16958121688370245</v>
      </c>
      <c r="H21" t="s">
        <v>3</v>
      </c>
    </row>
    <row r="22" spans="1:10" x14ac:dyDescent="0.35">
      <c r="E22" s="13"/>
      <c r="F22" s="3"/>
      <c r="G22" s="14"/>
    </row>
    <row r="23" spans="1:10" s="21" customFormat="1" ht="15.5" x14ac:dyDescent="0.35">
      <c r="A23" s="21" t="s">
        <v>36</v>
      </c>
      <c r="E23" s="22"/>
      <c r="G23" s="22"/>
    </row>
    <row r="24" spans="1:10" s="7" customFormat="1" x14ac:dyDescent="0.35">
      <c r="B24" s="7" t="s">
        <v>45</v>
      </c>
      <c r="E24" s="8"/>
      <c r="G24" s="8"/>
    </row>
    <row r="25" spans="1:10" s="7" customFormat="1" x14ac:dyDescent="0.35">
      <c r="C25" s="7" t="s">
        <v>55</v>
      </c>
      <c r="E25" s="35">
        <f>E16</f>
        <v>15</v>
      </c>
      <c r="F25" s="7" t="s">
        <v>2</v>
      </c>
      <c r="G25" s="27">
        <f>G16</f>
        <v>9.3205678499999993E-3</v>
      </c>
      <c r="H25" s="7" t="s">
        <v>1</v>
      </c>
      <c r="I25" s="27">
        <f>I16</f>
        <v>49.212598499999999</v>
      </c>
      <c r="J25" s="7" t="s">
        <v>3</v>
      </c>
    </row>
    <row r="26" spans="1:10" s="10" customFormat="1" x14ac:dyDescent="0.35">
      <c r="D26" s="10" t="s">
        <v>43</v>
      </c>
      <c r="E26" s="12">
        <f>SQRT((2*E$21*(E$16)*(E$17))/(E$16+E$17))</f>
        <v>1.2446284562803305</v>
      </c>
      <c r="F26" s="10" t="s">
        <v>2</v>
      </c>
      <c r="G26" s="12">
        <f t="shared" ref="G26:G34" si="0">E26*3.2808399</f>
        <v>4.0834267000399143</v>
      </c>
      <c r="H26" s="10" t="s">
        <v>3</v>
      </c>
    </row>
    <row r="27" spans="1:10" s="11" customFormat="1" x14ac:dyDescent="0.35">
      <c r="D27" s="11" t="s">
        <v>12</v>
      </c>
      <c r="E27" s="6">
        <f>SQRT((1*E$21*(E$16)*(E$17))/(E$16+E$17))</f>
        <v>0.88008522149356605</v>
      </c>
      <c r="F27" s="11" t="s">
        <v>2</v>
      </c>
      <c r="G27" s="6">
        <f t="shared" si="0"/>
        <v>2.887418710076429</v>
      </c>
      <c r="H27" s="11" t="s">
        <v>3</v>
      </c>
    </row>
    <row r="28" spans="1:10" s="11" customFormat="1" x14ac:dyDescent="0.35">
      <c r="D28" s="11" t="s">
        <v>13</v>
      </c>
      <c r="E28" s="12">
        <f>E27*0.8</f>
        <v>0.70406817719485293</v>
      </c>
      <c r="F28" s="11" t="s">
        <v>2</v>
      </c>
      <c r="G28" s="12">
        <f t="shared" si="0"/>
        <v>2.3099349680611438</v>
      </c>
      <c r="H28" s="11" t="s">
        <v>3</v>
      </c>
    </row>
    <row r="29" spans="1:10" s="11" customFormat="1" x14ac:dyDescent="0.35">
      <c r="D29" s="11" t="s">
        <v>14</v>
      </c>
      <c r="E29" s="12">
        <f>E27*0.6</f>
        <v>0.52805113289613959</v>
      </c>
      <c r="F29" s="11" t="s">
        <v>2</v>
      </c>
      <c r="G29" s="12">
        <f t="shared" si="0"/>
        <v>1.7324512260458573</v>
      </c>
      <c r="H29" s="11" t="s">
        <v>3</v>
      </c>
    </row>
    <row r="30" spans="1:10" s="5" customFormat="1" x14ac:dyDescent="0.35">
      <c r="C30" s="5" t="s">
        <v>54</v>
      </c>
      <c r="E30" s="26">
        <f>E12/2</f>
        <v>7500</v>
      </c>
      <c r="F30" s="5" t="s">
        <v>2</v>
      </c>
      <c r="G30" s="27">
        <f>G12/2</f>
        <v>4.6602839249999999</v>
      </c>
      <c r="H30" s="5" t="s">
        <v>1</v>
      </c>
    </row>
    <row r="31" spans="1:10" x14ac:dyDescent="0.35">
      <c r="D31" s="10" t="s">
        <v>43</v>
      </c>
      <c r="E31" s="12">
        <f>SQRT((2*E$21*(E$30)*(E$30))/(E$30+E$30))</f>
        <v>19.68915085032609</v>
      </c>
      <c r="F31" s="10" t="s">
        <v>2</v>
      </c>
      <c r="G31" s="12">
        <f t="shared" si="0"/>
        <v>64.596951706868765</v>
      </c>
      <c r="H31" s="10" t="s">
        <v>3</v>
      </c>
    </row>
    <row r="32" spans="1:10" x14ac:dyDescent="0.35">
      <c r="D32" s="11" t="s">
        <v>12</v>
      </c>
      <c r="E32" s="6">
        <f>SQRT((1*E$21*(E$30)*(E$30))/(E$30+E$30))</f>
        <v>13.922332082070456</v>
      </c>
      <c r="F32" s="11" t="s">
        <v>2</v>
      </c>
      <c r="G32" s="6">
        <f t="shared" si="0"/>
        <v>45.67694259590683</v>
      </c>
      <c r="H32" s="11" t="s">
        <v>3</v>
      </c>
    </row>
    <row r="33" spans="1:10" x14ac:dyDescent="0.35">
      <c r="D33" s="11" t="s">
        <v>13</v>
      </c>
      <c r="E33" s="12">
        <f>E32*0.8</f>
        <v>11.137865665656365</v>
      </c>
      <c r="F33" s="11" t="s">
        <v>2</v>
      </c>
      <c r="G33" s="12">
        <f t="shared" si="0"/>
        <v>36.541554076725461</v>
      </c>
      <c r="H33" s="11" t="s">
        <v>3</v>
      </c>
    </row>
    <row r="34" spans="1:10" x14ac:dyDescent="0.35">
      <c r="D34" s="11" t="s">
        <v>14</v>
      </c>
      <c r="E34" s="12">
        <f>E32*0.6</f>
        <v>8.3533992492422726</v>
      </c>
      <c r="F34" s="11" t="s">
        <v>2</v>
      </c>
      <c r="G34" s="12">
        <f t="shared" si="0"/>
        <v>27.406165557544092</v>
      </c>
      <c r="H34" s="11" t="s">
        <v>3</v>
      </c>
    </row>
    <row r="36" spans="1:10" s="5" customFormat="1" x14ac:dyDescent="0.35">
      <c r="B36" s="5" t="s">
        <v>27</v>
      </c>
      <c r="E36" s="9"/>
      <c r="G36" s="9"/>
    </row>
    <row r="37" spans="1:10" s="5" customFormat="1" x14ac:dyDescent="0.35">
      <c r="C37" s="5" t="s">
        <v>105</v>
      </c>
      <c r="E37" s="16">
        <f>-(TAN(RADIANS(E$10))*E$16)</f>
        <v>0.26182597392326379</v>
      </c>
      <c r="F37" s="5" t="s">
        <v>2</v>
      </c>
      <c r="G37" s="16">
        <f t="shared" ref="G37:G42" si="1">E37*3.2808399</f>
        <v>0.85900910210380343</v>
      </c>
      <c r="H37" s="5" t="s">
        <v>3</v>
      </c>
      <c r="I37" s="50">
        <f>G37*12</f>
        <v>10.308109225245641</v>
      </c>
      <c r="J37" s="5" t="s">
        <v>104</v>
      </c>
    </row>
    <row r="38" spans="1:10" s="5" customFormat="1" x14ac:dyDescent="0.35">
      <c r="C38" s="5" t="s">
        <v>106</v>
      </c>
      <c r="E38" s="16">
        <f>E37+(E46/2)</f>
        <v>0.58682597392326374</v>
      </c>
      <c r="F38" s="5" t="s">
        <v>2</v>
      </c>
      <c r="G38" s="16">
        <f t="shared" si="1"/>
        <v>1.9252820696038033</v>
      </c>
      <c r="H38" s="5" t="s">
        <v>3</v>
      </c>
      <c r="I38" s="50">
        <f t="shared" ref="I38:I42" si="2">G38*12</f>
        <v>23.103384835245642</v>
      </c>
      <c r="J38" s="5" t="s">
        <v>104</v>
      </c>
    </row>
    <row r="39" spans="1:10" s="5" customFormat="1" x14ac:dyDescent="0.35">
      <c r="C39" s="5" t="s">
        <v>99</v>
      </c>
      <c r="E39" s="16">
        <f>E26-(TAN(RADIANS(E$10))*E$16)</f>
        <v>1.5064544302035943</v>
      </c>
      <c r="F39" s="5" t="s">
        <v>2</v>
      </c>
      <c r="G39" s="16">
        <f t="shared" si="1"/>
        <v>4.9424358021437174</v>
      </c>
      <c r="H39" s="5" t="s">
        <v>3</v>
      </c>
      <c r="I39" s="50">
        <f t="shared" si="2"/>
        <v>59.309229625724612</v>
      </c>
      <c r="J39" s="5" t="s">
        <v>104</v>
      </c>
    </row>
    <row r="40" spans="1:10" s="5" customFormat="1" x14ac:dyDescent="0.35">
      <c r="C40" s="5" t="s">
        <v>100</v>
      </c>
      <c r="E40" s="16">
        <f>E27-(TAN(RADIANS(E$10))*E$16)</f>
        <v>1.1419111954168297</v>
      </c>
      <c r="F40" s="5" t="s">
        <v>2</v>
      </c>
      <c r="G40" s="16">
        <f t="shared" si="1"/>
        <v>3.7464278121802321</v>
      </c>
      <c r="H40" s="5" t="s">
        <v>3</v>
      </c>
      <c r="I40" s="50">
        <f t="shared" si="2"/>
        <v>44.957133746162782</v>
      </c>
      <c r="J40" s="5" t="s">
        <v>104</v>
      </c>
    </row>
    <row r="41" spans="1:10" s="5" customFormat="1" x14ac:dyDescent="0.35">
      <c r="C41" s="5" t="s">
        <v>101</v>
      </c>
      <c r="E41" s="16">
        <f>E28-(TAN(RADIANS(E$10))*E$16)</f>
        <v>0.96589415111811672</v>
      </c>
      <c r="F41" s="5" t="s">
        <v>2</v>
      </c>
      <c r="G41" s="16">
        <f t="shared" si="1"/>
        <v>3.1689440701649469</v>
      </c>
      <c r="H41" s="5" t="s">
        <v>3</v>
      </c>
      <c r="I41" s="50">
        <f t="shared" si="2"/>
        <v>38.027328841979362</v>
      </c>
      <c r="J41" s="5" t="s">
        <v>104</v>
      </c>
    </row>
    <row r="42" spans="1:10" s="5" customFormat="1" x14ac:dyDescent="0.35">
      <c r="C42" s="5" t="s">
        <v>102</v>
      </c>
      <c r="E42" s="16">
        <f>E29-(TAN(RADIANS(E$10))*E$16)</f>
        <v>0.78987710681940337</v>
      </c>
      <c r="F42" s="5" t="s">
        <v>2</v>
      </c>
      <c r="G42" s="16">
        <f t="shared" si="1"/>
        <v>2.5914603281496609</v>
      </c>
      <c r="H42" s="5" t="s">
        <v>3</v>
      </c>
      <c r="I42" s="50">
        <f t="shared" si="2"/>
        <v>31.09752393779593</v>
      </c>
      <c r="J42" s="5" t="s">
        <v>104</v>
      </c>
    </row>
    <row r="44" spans="1:10" s="21" customFormat="1" ht="15.5" x14ac:dyDescent="0.35">
      <c r="A44" s="21" t="s">
        <v>44</v>
      </c>
      <c r="E44" s="22"/>
      <c r="G44" s="22"/>
    </row>
    <row r="45" spans="1:10" s="7" customFormat="1" x14ac:dyDescent="0.35">
      <c r="B45" s="7" t="s">
        <v>52</v>
      </c>
      <c r="E45" s="32" t="s">
        <v>103</v>
      </c>
      <c r="F45" s="33"/>
      <c r="G45" s="32"/>
      <c r="H45" s="33"/>
      <c r="I45" s="33"/>
    </row>
    <row r="46" spans="1:10" s="7" customFormat="1" x14ac:dyDescent="0.35">
      <c r="B46" s="5" t="s">
        <v>51</v>
      </c>
      <c r="E46" s="18">
        <v>0.65</v>
      </c>
      <c r="F46" s="7" t="s">
        <v>2</v>
      </c>
      <c r="G46" s="8"/>
    </row>
    <row r="47" spans="1:10" s="7" customFormat="1" x14ac:dyDescent="0.35">
      <c r="B47" s="5" t="s">
        <v>63</v>
      </c>
      <c r="E47" s="19">
        <v>30</v>
      </c>
      <c r="F47" s="7" t="s">
        <v>64</v>
      </c>
      <c r="G47" s="8"/>
    </row>
    <row r="48" spans="1:10" s="5" customFormat="1" x14ac:dyDescent="0.35">
      <c r="B48" s="5" t="s">
        <v>50</v>
      </c>
      <c r="E48" s="25">
        <v>5.8</v>
      </c>
      <c r="F48" s="7" t="s">
        <v>31</v>
      </c>
      <c r="G48" s="34"/>
      <c r="H48" s="11"/>
    </row>
    <row r="49" spans="2:10" s="5" customFormat="1" x14ac:dyDescent="0.35">
      <c r="B49" s="5" t="s">
        <v>65</v>
      </c>
      <c r="E49" s="37"/>
      <c r="F49" s="7"/>
      <c r="G49" s="34"/>
      <c r="H49" s="11"/>
    </row>
    <row r="50" spans="2:10" s="5" customFormat="1" x14ac:dyDescent="0.35">
      <c r="C50" s="11" t="s">
        <v>56</v>
      </c>
      <c r="E50" s="39">
        <f>10^((-20.4 + E47 - 20*LOG10(E19/1000) - 20*LOG10(E46))/10)</f>
        <v>0.64167822144383635</v>
      </c>
      <c r="F50" s="7"/>
      <c r="G50" s="34"/>
      <c r="H50" s="11"/>
    </row>
    <row r="51" spans="2:10" s="5" customFormat="1" x14ac:dyDescent="0.35">
      <c r="C51" s="11" t="s">
        <v>71</v>
      </c>
      <c r="E51" s="38">
        <f>E21</f>
        <v>5.1688354827586207E-2</v>
      </c>
      <c r="F51" s="10" t="s">
        <v>2</v>
      </c>
      <c r="G51" s="12">
        <f>E51*3.2808399</f>
        <v>0.16958121688370245</v>
      </c>
      <c r="H51" s="11" t="s">
        <v>3</v>
      </c>
      <c r="I51" s="11"/>
      <c r="J51" s="11"/>
    </row>
    <row r="52" spans="2:10" s="5" customFormat="1" x14ac:dyDescent="0.35">
      <c r="C52" s="11" t="s">
        <v>72</v>
      </c>
      <c r="E52" s="38">
        <f>E51</f>
        <v>5.1688354827586207E-2</v>
      </c>
      <c r="F52" s="10" t="s">
        <v>2</v>
      </c>
      <c r="G52" s="12">
        <f>E52*3.2808399</f>
        <v>0.16958121688370245</v>
      </c>
      <c r="H52" s="10" t="s">
        <v>3</v>
      </c>
      <c r="I52" s="11"/>
      <c r="J52" s="11"/>
    </row>
    <row r="53" spans="2:10" s="5" customFormat="1" ht="16.5" x14ac:dyDescent="0.35">
      <c r="C53" s="11" t="s">
        <v>68</v>
      </c>
      <c r="E53" s="38">
        <f>(E46^2)/(2*E21)</f>
        <v>4.0869940764153583</v>
      </c>
      <c r="F53" s="10" t="s">
        <v>2</v>
      </c>
      <c r="G53" s="12">
        <f>E53*3.2808399</f>
        <v>13.408773236967157</v>
      </c>
      <c r="H53" s="10" t="s">
        <v>3</v>
      </c>
      <c r="I53" s="11"/>
      <c r="J53" s="11"/>
    </row>
    <row r="54" spans="2:10" s="5" customFormat="1" ht="16.5" x14ac:dyDescent="0.35">
      <c r="C54" s="11" t="s">
        <v>69</v>
      </c>
      <c r="E54" s="49">
        <f>IF(E46&lt;(E21/2),2*E21,(2*E46^2)/E21)</f>
        <v>16.347976305661433</v>
      </c>
      <c r="F54" s="10" t="s">
        <v>2</v>
      </c>
      <c r="G54" s="12">
        <f>E54*3.2808399</f>
        <v>53.635092947868628</v>
      </c>
      <c r="H54" s="11" t="s">
        <v>3</v>
      </c>
      <c r="I54" s="11" t="s">
        <v>28</v>
      </c>
      <c r="J54" s="11"/>
    </row>
    <row r="55" spans="2:10" ht="16.5" x14ac:dyDescent="0.35">
      <c r="C55" s="11" t="s">
        <v>70</v>
      </c>
      <c r="E55" s="4">
        <f>E54*E50</f>
        <v>10.490140360022806</v>
      </c>
      <c r="F55" s="10" t="s">
        <v>2</v>
      </c>
      <c r="G55" s="12">
        <f>E55*3.2808399</f>
        <v>34.416471049763189</v>
      </c>
      <c r="H55" s="11" t="s">
        <v>3</v>
      </c>
      <c r="I55" t="s">
        <v>66</v>
      </c>
    </row>
    <row r="56" spans="2:10" s="5" customFormat="1" x14ac:dyDescent="0.35">
      <c r="C56" s="11" t="s">
        <v>33</v>
      </c>
      <c r="E56" s="36">
        <f>2*TAN(RADIANS(0.5*E48))*E12</f>
        <v>1519.7344392930249</v>
      </c>
      <c r="F56" s="10" t="s">
        <v>2</v>
      </c>
      <c r="G56" s="12">
        <f>E56/1000*0.62137119</f>
        <v>0.94431919702748968</v>
      </c>
      <c r="H56" s="11" t="s">
        <v>1</v>
      </c>
      <c r="I56" s="12">
        <f>E56*3.2808399</f>
        <v>4986.0053858366846</v>
      </c>
      <c r="J56" s="11" t="s">
        <v>3</v>
      </c>
    </row>
  </sheetData>
  <mergeCells count="3">
    <mergeCell ref="E7:I7"/>
    <mergeCell ref="E8:I8"/>
    <mergeCell ref="E15:I15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Formulas</vt:lpstr>
      <vt:lpstr>Site1-Site2</vt:lpstr>
      <vt:lpstr>'Site1-Site2'!Print_Area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2018-01-10T19:05:55Z</dcterms:modified>
</cp:coreProperties>
</file>